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00" windowHeight="7830" activeTab="0"/>
  </bookViews>
  <sheets>
    <sheet name="Sheet1" sheetId="1" r:id="rId1"/>
    <sheet name="Sheet2" sheetId="2" r:id="rId2"/>
    <sheet name="Sheet3" sheetId="3" r:id="rId3"/>
  </sheets>
  <definedNames>
    <definedName name="SHEET_TITLE" localSheetId="0">"Sheet1"</definedName>
    <definedName name="_xlnm.Print_Area" localSheetId="0">'Sheet1'!$A:$IV</definedName>
    <definedName name="SHEET_TITLE" localSheetId="1">"Sheet2"</definedName>
    <definedName name="_xlnm.Print_Area" localSheetId="1">'Sheet2'!$A:$IV</definedName>
    <definedName name="SHEET_TITLE" localSheetId="2">"Sheet3"</definedName>
    <definedName name="_xlnm.Print_Area" localSheetId="2">'Sheet3'!$A:$IV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<sst xmlns="http://schemas.openxmlformats.org/spreadsheetml/2006/main" count="167" uniqueCount="121">
  <si>
    <t>Gun and dart specifications</t>
  </si>
  <si>
    <t>Length to handle</t>
  </si>
  <si>
    <t>in</t>
  </si>
  <si>
    <t>m</t>
  </si>
  <si>
    <t>psi</t>
  </si>
  <si>
    <t>Regulated pressure</t>
  </si>
  <si>
    <t>Pa</t>
  </si>
  <si>
    <t>Pc*(0)</t>
  </si>
  <si>
    <t>md*_crit (internal)</t>
  </si>
  <si>
    <t>m* (exterior)</t>
  </si>
  <si>
    <t>Barrel length</t>
  </si>
  <si>
    <t>g</t>
  </si>
  <si>
    <t>ft/s^2</t>
  </si>
  <si>
    <t>m/s^2</t>
  </si>
  <si>
    <t>Specific gas constant</t>
  </si>
  <si>
    <t>J/kg*K</t>
  </si>
  <si>
    <t>cm</t>
  </si>
  <si>
    <t>Gun length</t>
  </si>
  <si>
    <t>http://www.devcon.com/prodfiles/pdfs/fam_tds_102.pdf</t>
  </si>
  <si>
    <t>Epoxy putty</t>
  </si>
  <si>
    <t>Turret thickness (cam + extra space)</t>
  </si>
  <si>
    <t>YS</t>
  </si>
  <si>
    <t>critical md* (Cd = 0.4)</t>
  </si>
  <si>
    <t>Pump stroke</t>
  </si>
  <si>
    <t>https://www.onlinemetals.com/merchant.cfm?pid=1211&amp;step=4&amp;showunits=inches&amp;id=71&amp;top_cat=60</t>
  </si>
  <si>
    <t>https://www.onlinemetals.com/merchant.cfm?pid=7009&amp;step=4&amp;showunits=inches&amp;id=71&amp;top_cat=60</t>
  </si>
  <si>
    <t>m* factor</t>
  </si>
  <si>
    <t>SF</t>
  </si>
  <si>
    <t>Do</t>
  </si>
  <si>
    <t>Range</t>
  </si>
  <si>
    <t>ft</t>
  </si>
  <si>
    <t>Length behind tube</t>
  </si>
  <si>
    <t>Firing heights</t>
  </si>
  <si>
    <t>CB</t>
  </si>
  <si>
    <t>V0*</t>
  </si>
  <si>
    <t>R_max</t>
  </si>
  <si>
    <t>kg</t>
  </si>
  <si>
    <t>m^3</t>
  </si>
  <si>
    <t>Firing chamber volume</t>
  </si>
  <si>
    <t>rho_atm</t>
  </si>
  <si>
    <t>Atmopsheric temperature</t>
  </si>
  <si>
    <t>kg/m^3</t>
  </si>
  <si>
    <t>F</t>
  </si>
  <si>
    <t>Turret thickness (between barrels)</t>
  </si>
  <si>
    <t>density</t>
  </si>
  <si>
    <t>lb/in^3</t>
  </si>
  <si>
    <t>g/cm^3</t>
  </si>
  <si>
    <t>t</t>
  </si>
  <si>
    <t>Endurance limit</t>
  </si>
  <si>
    <t>Al. tube link</t>
  </si>
  <si>
    <t>Di</t>
  </si>
  <si>
    <t>https://www.onlinemetals.com/merchant.cfm?pid=7537&amp;step=4&amp;showunits=inches&amp;id=71&amp;top_cat=60</t>
  </si>
  <si>
    <t>Epoxy volume (in^3)</t>
  </si>
  <si>
    <t>https://www.onlinemetals.com/merchant.cfm?pid=7011&amp;step=4&amp;showunits=inches&amp;id=71&amp;top_cat=60</t>
  </si>
  <si>
    <t>Plug length (in.)</t>
  </si>
  <si>
    <t>Tank weigth (lb)</t>
  </si>
  <si>
    <t>SF (Barlow's), endurance limit</t>
  </si>
  <si>
    <t>number of shots</t>
  </si>
  <si>
    <t>Tank volume (in^3)</t>
  </si>
  <si>
    <t>Usable tank air mass (kg)</t>
  </si>
  <si>
    <t>Pumps/shot</t>
  </si>
  <si>
    <t>Tank mass (g)</t>
  </si>
  <si>
    <t>Tank volume (m^3)</t>
  </si>
  <si>
    <t>Pumps from unregulated to full</t>
  </si>
  <si>
    <t>Mass to pump in (kg)</t>
  </si>
  <si>
    <t>Pumps to fill</t>
  </si>
  <si>
    <t>Number of barrels</t>
  </si>
  <si>
    <t>Pumps before regulator kicks in</t>
  </si>
  <si>
    <t>Pump diameter (approximate)</t>
  </si>
  <si>
    <t>Diameter to center of barrels</t>
  </si>
  <si>
    <t>Mass before regulator kicks in</t>
  </si>
  <si>
    <t>Turret OD</t>
  </si>
  <si>
    <t>in^3</t>
  </si>
  <si>
    <t>C</t>
  </si>
  <si>
    <t>K</t>
  </si>
  <si>
    <t>Firing chamber lenght</t>
  </si>
  <si>
    <t>Reservoir pressure</t>
  </si>
  <si>
    <t>Length in front of tube</t>
  </si>
  <si>
    <t>Dart diameter</t>
  </si>
  <si>
    <t>Firing chamber ID</t>
  </si>
  <si>
    <t>eng/eng_max</t>
  </si>
  <si>
    <t>R*</t>
  </si>
  <si>
    <t>V0*_min</t>
  </si>
  <si>
    <t>R</t>
  </si>
  <si>
    <t>P</t>
  </si>
  <si>
    <t>V0</t>
  </si>
  <si>
    <t>L_tube</t>
  </si>
  <si>
    <t>ft/s</t>
  </si>
  <si>
    <t>P_atm</t>
  </si>
  <si>
    <t>Aluminum (6061-T6)</t>
  </si>
  <si>
    <t>http://asm.matweb.com/search/SpecificMaterial.asp?bassnum=MA6061t6</t>
  </si>
  <si>
    <t>m*factor</t>
  </si>
  <si>
    <t>UFS</t>
  </si>
  <si>
    <t>PETG</t>
  </si>
  <si>
    <t>http://nerfhaven.com/forums/index.php?s=&amp;showtopic=15939&amp;view=findpost&amp;p=221776</t>
  </si>
  <si>
    <t>Modulus of elasticity</t>
  </si>
  <si>
    <t>https://www.onlinemetals.com/merchant.cfm?pid=4354&amp;step=4&amp;showunits=inches&amp;id=71&amp;top_cat=60</t>
  </si>
  <si>
    <t>https://www.onlinemetals.com/merchant.cfm?pid=8196&amp;step=4&amp;showunits=inches&amp;id=71&amp;top_cat=60</t>
  </si>
  <si>
    <t>Pump volume</t>
  </si>
  <si>
    <t>m/s</t>
  </si>
  <si>
    <t>Maximum KED</t>
  </si>
  <si>
    <t>mJ/mm^2</t>
  </si>
  <si>
    <t>Gun section length</t>
  </si>
  <si>
    <t>Dart area</t>
  </si>
  <si>
    <t>in^2</t>
  </si>
  <si>
    <t>m^2</t>
  </si>
  <si>
    <t>eng_r</t>
  </si>
  <si>
    <t>eng</t>
  </si>
  <si>
    <t>KED</t>
  </si>
  <si>
    <t>Constants</t>
  </si>
  <si>
    <t>g/cm^2</t>
  </si>
  <si>
    <t>critical md* (Cd = 0.2)</t>
  </si>
  <si>
    <t>Pump</t>
  </si>
  <si>
    <t>http://www.topeak.com/products/Mini-Pumps/Speed</t>
  </si>
  <si>
    <t>USS</t>
  </si>
  <si>
    <t>https://www.onlinemetals.com/merchant.cfm?pid=14532&amp;step=4&amp;showunits=inches&amp;id=71&amp;top_cat=60</t>
  </si>
  <si>
    <t>ratio of specific heats</t>
  </si>
  <si>
    <t>micrograms</t>
  </si>
  <si>
    <t>Mass per stroke</t>
  </si>
  <si>
    <t>Works?</t>
  </si>
  <si>
    <t>Mass per shot</t>
  </si>
</sst>
</file>

<file path=xl/styles.xml><?xml version="1.0" encoding="utf-8"?>
<styleSheet xmlns="http://schemas.openxmlformats.org/spreadsheetml/2006/main">
  <numFmts count="10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##0E+00"/>
    <numFmt numFmtId="51" formatCode="0.0E+00"/>
  </numFmts>
  <fonts count="2">
    <font>
      <sz val="10"/>
      <color indexed="8"/>
      <name val="Sans"/>
      <family val="0"/>
    </font>
    <font>
      <sz val="10"/>
      <color indexed="10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50" fontId="0" fillId="0" borderId="0" xfId="0" applyNumberFormat="1" applyFont="1" applyFill="1" applyBorder="1" applyAlignment="1" applyProtection="1">
      <alignment/>
      <protection/>
    </xf>
    <xf numFmtId="51" fontId="1" fillId="0" borderId="0" xfId="0" applyNumberFormat="1" applyFont="1" applyFill="1" applyBorder="1" applyAlignment="1" applyProtection="1">
      <alignment/>
      <protection/>
    </xf>
    <xf numFmtId="10" fontId="0" fillId="0" borderId="0" xfId="0" applyNumberFormat="1" applyFont="1" applyFill="1" applyBorder="1" applyAlignment="1" applyProtection="1">
      <alignment/>
      <protection/>
    </xf>
    <xf numFmtId="50" fontId="1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zoomScaleSheetLayoutView="1" workbookViewId="0" topLeftCell="A1">
      <selection activeCell="V73" sqref="V73"/>
    </sheetView>
  </sheetViews>
  <sheetFormatPr defaultColWidth="9.00390625" defaultRowHeight="12.75"/>
  <cols>
    <col min="1" max="1" width="21.125" style="1" bestFit="1" customWidth="1"/>
    <col min="2" max="41" width="9.125" style="1" customWidth="1"/>
  </cols>
  <sheetData>
    <row r="1" spans="1:4" ht="13.5">
      <c r="A1" s="1" t="s">
        <v>0</v>
      </c>
      <c r="D1" s="2"/>
    </row>
    <row r="2" spans="1:5" ht="13.5">
      <c r="A2" s="1" t="s">
        <v>29</v>
      </c>
      <c r="B2" s="1">
        <v>110</v>
      </c>
      <c r="C2" s="1" t="s">
        <v>30</v>
      </c>
      <c r="D2" s="2">
        <f>0.3048*B2</f>
        <v>33.528</v>
      </c>
      <c r="E2" s="1" t="s">
        <v>3</v>
      </c>
    </row>
    <row r="3" spans="1:5" ht="13.5">
      <c r="A3" s="1" t="s">
        <v>76</v>
      </c>
      <c r="B3" s="1">
        <v>150</v>
      </c>
      <c r="C3" s="1" t="s">
        <v>4</v>
      </c>
      <c r="D3" s="6">
        <f>B3*6894.75729</f>
        <v>1034213.5935</v>
      </c>
      <c r="E3" s="1" t="s">
        <v>6</v>
      </c>
    </row>
    <row r="4" spans="1:5" ht="13.5">
      <c r="A4" s="1" t="s">
        <v>100</v>
      </c>
      <c r="D4" s="1">
        <v>20</v>
      </c>
      <c r="E4" s="1" t="s">
        <v>101</v>
      </c>
    </row>
    <row r="5" spans="1:5" ht="13.5">
      <c r="A5" s="1" t="s">
        <v>1</v>
      </c>
      <c r="B5" s="2">
        <f>12*D5/0.3048</f>
        <v>10.62992125984252</v>
      </c>
      <c r="C5" s="1" t="s">
        <v>2</v>
      </c>
      <c r="D5" s="1">
        <v>0.27</v>
      </c>
      <c r="E5" s="1" t="s">
        <v>3</v>
      </c>
    </row>
    <row r="6" spans="1:3" ht="13.5">
      <c r="A6" s="1" t="s">
        <v>31</v>
      </c>
      <c r="B6" s="1">
        <v>2</v>
      </c>
      <c r="C6" s="1" t="s">
        <v>2</v>
      </c>
    </row>
    <row r="7" spans="1:3" ht="13.5">
      <c r="A7" s="1" t="s">
        <v>77</v>
      </c>
      <c r="B7" s="1">
        <v>2</v>
      </c>
      <c r="C7" s="1" t="s">
        <v>2</v>
      </c>
    </row>
    <row r="8" spans="1:3" ht="13.5">
      <c r="A8" s="1" t="s">
        <v>102</v>
      </c>
      <c r="B8" s="1">
        <v>12</v>
      </c>
      <c r="C8" s="1" t="s">
        <v>2</v>
      </c>
    </row>
    <row r="9" spans="1:5" ht="13.5">
      <c r="A9" s="1" t="s">
        <v>5</v>
      </c>
      <c r="B9" s="1">
        <v>80</v>
      </c>
      <c r="C9" s="1" t="s">
        <v>4</v>
      </c>
      <c r="D9" s="6">
        <f>B9*6894.75729</f>
        <v>551580.5832</v>
      </c>
      <c r="E9" s="1" t="s">
        <v>6</v>
      </c>
    </row>
    <row r="10" spans="1:5" ht="13.5">
      <c r="A10" s="1" t="s">
        <v>32</v>
      </c>
      <c r="B10" s="1">
        <v>4.5</v>
      </c>
      <c r="C10" s="1" t="s">
        <v>30</v>
      </c>
      <c r="D10" s="2">
        <f>0.3048*$B$10</f>
        <v>1.3716000000000002</v>
      </c>
      <c r="E10" s="1" t="s">
        <v>3</v>
      </c>
    </row>
    <row r="11" spans="1:4" ht="13.5">
      <c r="A11" s="1" t="s">
        <v>78</v>
      </c>
      <c r="B11" s="1">
        <v>0.527</v>
      </c>
      <c r="C11" s="1" t="s">
        <v>2</v>
      </c>
      <c r="D11" s="2"/>
    </row>
    <row r="12" spans="1:5" ht="13.5">
      <c r="A12" s="1" t="s">
        <v>103</v>
      </c>
      <c r="B12" s="1">
        <f>PI()/4*$B$11^2</f>
        <v>0.21812784652220993</v>
      </c>
      <c r="C12" s="1" t="s">
        <v>104</v>
      </c>
      <c r="D12" s="4">
        <f>0.00064516*B12</f>
        <v>0.00014072736146226897</v>
      </c>
      <c r="E12" s="1" t="s">
        <v>105</v>
      </c>
    </row>
    <row r="13" spans="1:4" ht="13.5">
      <c r="A13" s="1" t="s">
        <v>20</v>
      </c>
      <c r="B13" s="1">
        <v>0.375</v>
      </c>
      <c r="C13" s="1" t="s">
        <v>2</v>
      </c>
      <c r="D13" s="4"/>
    </row>
    <row r="14" spans="1:4" ht="13.5">
      <c r="A14" s="1" t="s">
        <v>43</v>
      </c>
      <c r="B14" s="1">
        <v>0.25</v>
      </c>
      <c r="C14" s="1" t="s">
        <v>2</v>
      </c>
      <c r="D14" s="4"/>
    </row>
    <row r="15" spans="1:4" ht="13.5">
      <c r="A15" s="1" t="s">
        <v>79</v>
      </c>
      <c r="B15" s="1">
        <v>0.405</v>
      </c>
      <c r="D15" s="4"/>
    </row>
    <row r="17" spans="1:2" ht="13.5">
      <c r="A17" s="1" t="s">
        <v>7</v>
      </c>
      <c r="B17" s="1">
        <f>(B39+B9)/B39</f>
        <v>6.443677110288675</v>
      </c>
    </row>
    <row r="18" spans="1:2" ht="13.5">
      <c r="A18" s="1" t="s">
        <v>33</v>
      </c>
      <c r="B18" s="1">
        <f>1/(B17^(1/1.4)-1)</f>
        <v>0.35919364285406513</v>
      </c>
    </row>
    <row r="19" spans="1:9" ht="13.5">
      <c r="A19" s="1" t="s">
        <v>80</v>
      </c>
      <c r="B19" s="1">
        <v>0.95</v>
      </c>
      <c r="G19" s="1" t="s">
        <v>83</v>
      </c>
      <c r="H19" s="1" t="s">
        <v>84</v>
      </c>
      <c r="I19" s="1" t="s">
        <v>91</v>
      </c>
    </row>
    <row r="20" spans="1:9" ht="13.5">
      <c r="A20" s="1" t="s">
        <v>107</v>
      </c>
      <c r="B20" s="1">
        <f>$B$19*(1.146+0.937*B18)^-1.4</f>
        <v>0.5473997479412662</v>
      </c>
      <c r="G20" s="1">
        <v>110</v>
      </c>
      <c r="H20" s="1">
        <v>80</v>
      </c>
      <c r="I20" s="1">
        <v>1.26</v>
      </c>
    </row>
    <row r="21" spans="1:9" ht="13.5">
      <c r="A21" s="1" t="s">
        <v>8</v>
      </c>
      <c r="B21" s="1">
        <f>C21*E21</f>
        <v>77.40772687734716</v>
      </c>
      <c r="C21" s="1">
        <f>C45</f>
        <v>61.43470387091044</v>
      </c>
      <c r="D21" s="1" t="s">
        <v>26</v>
      </c>
      <c r="E21" s="1">
        <v>1.26</v>
      </c>
      <c r="G21" s="1">
        <v>105</v>
      </c>
      <c r="H21" s="1">
        <v>80</v>
      </c>
      <c r="I21" s="1">
        <v>1.423</v>
      </c>
    </row>
    <row r="22" spans="1:6" ht="13.5">
      <c r="A22" s="1" t="s">
        <v>34</v>
      </c>
      <c r="B22" s="1">
        <f>SQRT(2*$B$20*$D$39*($B$17-$B$17^(1/$B$40))/(($B$40-1)*$D$38*$D$37*$D$10*$B$21))</f>
        <v>24.043656011025593</v>
      </c>
      <c r="D22" s="1" t="s">
        <v>35</v>
      </c>
      <c r="E22" s="1">
        <f>SQRT(2)*$B$22*$B$10</f>
        <v>153.012889889216</v>
      </c>
      <c r="F22" s="1" t="s">
        <v>30</v>
      </c>
    </row>
    <row r="23" spans="1:5" ht="13.5">
      <c r="A23" s="1" t="s">
        <v>81</v>
      </c>
      <c r="B23" s="1">
        <f>$B$2/$B$10</f>
        <v>24.444444444444443</v>
      </c>
      <c r="D23" s="1" t="s">
        <v>82</v>
      </c>
      <c r="E23" s="1">
        <f>$B$23/SQRT(2)</f>
        <v>17.284832429004492</v>
      </c>
    </row>
    <row r="24" spans="1:5" ht="13.5">
      <c r="A24" s="1" t="s">
        <v>106</v>
      </c>
      <c r="B24" s="1">
        <f>0.5*($B$23/$B$22)^2</f>
        <v>0.5168081278432005</v>
      </c>
      <c r="D24" s="1" t="s">
        <v>119</v>
      </c>
      <c r="E24" s="1" t="b">
        <f>$B$24&lt;1</f>
        <v>1</v>
      </c>
    </row>
    <row r="25" spans="1:2" ht="13.5">
      <c r="A25" s="1" t="s">
        <v>9</v>
      </c>
      <c r="B25" s="1">
        <f>$B$22/5.733*($B$23^2/(2*$B$22^2-$B$23^2))</f>
        <v>4.485679901178569</v>
      </c>
    </row>
    <row r="26" spans="1:5" ht="13.5">
      <c r="A26" s="1" t="s">
        <v>3</v>
      </c>
      <c r="B26" s="1">
        <f>$B$25*$D$38*$D$12*$D$10</f>
        <v>0.0010606458308784219</v>
      </c>
      <c r="C26" s="1" t="s">
        <v>36</v>
      </c>
      <c r="D26" s="1">
        <f>1000*$B$26</f>
        <v>1.060645830878422</v>
      </c>
      <c r="E26" s="1" t="s">
        <v>11</v>
      </c>
    </row>
    <row r="27" spans="1:5" ht="13.5">
      <c r="A27" s="1" t="s">
        <v>85</v>
      </c>
      <c r="B27" s="2">
        <f>$D$27/0.3048</f>
        <v>289.3568614874513</v>
      </c>
      <c r="C27" s="1" t="s">
        <v>87</v>
      </c>
      <c r="D27" s="1">
        <f>SQRT($D$37*$D$10)*$B$22</f>
        <v>88.19597138137516</v>
      </c>
      <c r="E27" s="1" t="s">
        <v>99</v>
      </c>
    </row>
    <row r="28" spans="1:5" ht="13.5">
      <c r="A28" s="1" t="s">
        <v>108</v>
      </c>
      <c r="B28" s="1"/>
      <c r="D28" s="1">
        <f>0.001*0.5*$B$26*$D$27^2/$D$12</f>
        <v>29.312937650170916</v>
      </c>
      <c r="E28" s="1" t="s">
        <v>101</v>
      </c>
    </row>
    <row r="29" spans="1:5" ht="13.5">
      <c r="A29" s="1" t="s">
        <v>10</v>
      </c>
      <c r="B29" s="1">
        <f>$B$30/($B$18*$D$12)</f>
        <v>0.22128032436757378</v>
      </c>
      <c r="C29" s="1" t="s">
        <v>3</v>
      </c>
      <c r="D29" s="2">
        <f>12*$B$29/0.3048</f>
        <v>8.711823793998967</v>
      </c>
      <c r="E29" s="1" t="s">
        <v>2</v>
      </c>
    </row>
    <row r="30" spans="1:5" ht="13.5">
      <c r="A30" s="1" t="s">
        <v>38</v>
      </c>
      <c r="B30" s="1">
        <f>$B$26/($B$21*$D$38)</f>
        <v>1.1185360509309881E-05</v>
      </c>
      <c r="C30" s="1" t="s">
        <v>37</v>
      </c>
      <c r="D30" s="2">
        <f>61023.7441*$B$30</f>
        <v>0.6825725773863719</v>
      </c>
      <c r="E30" s="1" t="s">
        <v>72</v>
      </c>
    </row>
    <row r="31" spans="1:5" ht="13.5">
      <c r="A31" s="1" t="s">
        <v>86</v>
      </c>
      <c r="D31" s="1">
        <f>$D$29+$B$8-$B$7</f>
        <v>18.711823793998967</v>
      </c>
      <c r="E31" s="1" t="s">
        <v>2</v>
      </c>
    </row>
    <row r="32" spans="1:7" ht="13.5">
      <c r="A32" s="1" t="s">
        <v>120</v>
      </c>
      <c r="D32" s="1">
        <f>$B$9*$B$30/($D$41*$F$42)</f>
        <v>1.0494385337597814E-08</v>
      </c>
      <c r="E32" s="1" t="s">
        <v>36</v>
      </c>
      <c r="F32" s="1">
        <f>1000000000*$D$32</f>
        <v>10.494385337597814</v>
      </c>
      <c r="G32" s="1" t="s">
        <v>117</v>
      </c>
    </row>
    <row r="33" spans="1:5" ht="13.5">
      <c r="A33" s="1" t="s">
        <v>17</v>
      </c>
      <c r="B33" s="1">
        <f>$D$31+$B$6+$B$7</f>
        <v>22.711823793998967</v>
      </c>
      <c r="C33" s="1" t="s">
        <v>2</v>
      </c>
      <c r="D33" s="1">
        <f>B33*2.54</f>
        <v>57.688032436757375</v>
      </c>
      <c r="E33" s="1" t="s">
        <v>16</v>
      </c>
    </row>
    <row r="34" spans="1:5" ht="13.5">
      <c r="A34" s="1" t="s">
        <v>75</v>
      </c>
      <c r="D34" s="1">
        <f>$D$30/(PI()/4*$B$15^2)</f>
        <v>5.298450831764248</v>
      </c>
      <c r="E34" s="1" t="s">
        <v>2</v>
      </c>
    </row>
    <row r="36" ht="13.5">
      <c r="A36" s="1" t="s">
        <v>109</v>
      </c>
    </row>
    <row r="37" spans="1:5" ht="13.5">
      <c r="A37" s="1" t="s">
        <v>11</v>
      </c>
      <c r="B37" s="1">
        <v>32.2</v>
      </c>
      <c r="C37" s="1" t="s">
        <v>12</v>
      </c>
      <c r="D37" s="1">
        <v>9.81</v>
      </c>
      <c r="E37" s="1" t="s">
        <v>13</v>
      </c>
    </row>
    <row r="38" spans="1:5" ht="13.5">
      <c r="A38" s="1" t="s">
        <v>39</v>
      </c>
      <c r="C38" s="1"/>
      <c r="D38" s="1">
        <v>1.225</v>
      </c>
      <c r="E38" s="1" t="s">
        <v>41</v>
      </c>
    </row>
    <row r="39" spans="1:5" ht="13.5">
      <c r="A39" s="1" t="s">
        <v>88</v>
      </c>
      <c r="B39" s="2">
        <f>D39/6894.75729</f>
        <v>14.695948782266708</v>
      </c>
      <c r="C39" s="1" t="s">
        <v>4</v>
      </c>
      <c r="D39" s="1">
        <v>101325</v>
      </c>
      <c r="E39" s="1" t="s">
        <v>6</v>
      </c>
    </row>
    <row r="40" spans="1:2" ht="13.5">
      <c r="A40" s="1" t="s">
        <v>116</v>
      </c>
      <c r="B40" s="1">
        <v>1.4</v>
      </c>
    </row>
    <row r="41" spans="1:5" ht="13.5">
      <c r="A41" s="1" t="s">
        <v>14</v>
      </c>
      <c r="D41" s="1">
        <v>287.058</v>
      </c>
      <c r="E41" s="1" t="s">
        <v>15</v>
      </c>
    </row>
    <row r="42" spans="1:7" ht="13.5">
      <c r="A42" s="1" t="s">
        <v>40</v>
      </c>
      <c r="B42" s="1">
        <v>75</v>
      </c>
      <c r="C42" s="1" t="s">
        <v>42</v>
      </c>
      <c r="D42" s="2">
        <f>5/9*($B$42-32)</f>
        <v>23.88888888888889</v>
      </c>
      <c r="E42" s="1" t="s">
        <v>73</v>
      </c>
      <c r="F42" s="2">
        <f>$D$42+273.15</f>
        <v>297.0388888888889</v>
      </c>
      <c r="G42" s="1" t="s">
        <v>74</v>
      </c>
    </row>
    <row r="43" spans="2:3" ht="12.75">
      <c r="B43" s="5">
        <v>0.99</v>
      </c>
      <c r="C43" s="5">
        <v>0.95</v>
      </c>
    </row>
    <row r="44" spans="1:3" ht="13.5">
      <c r="A44" s="1" t="s">
        <v>111</v>
      </c>
      <c r="B44" s="1">
        <f>456.8+37.8*$B$17</f>
        <v>700.3709947689119</v>
      </c>
      <c r="C44" s="1">
        <f>88.8+8.5*$B$17</f>
        <v>143.57125543745374</v>
      </c>
    </row>
    <row r="45" spans="1:3" ht="13.5">
      <c r="A45" s="1" t="s">
        <v>22</v>
      </c>
      <c r="B45" s="1">
        <f>38.4+42.2*$B$17</f>
        <v>310.32317405418206</v>
      </c>
      <c r="C45" s="1">
        <f>7.63+8.35*$B$17</f>
        <v>61.43470387091044</v>
      </c>
    </row>
    <row r="47" spans="1:2" ht="13.5">
      <c r="A47" s="1" t="s">
        <v>89</v>
      </c>
      <c r="B47" s="1" t="s">
        <v>90</v>
      </c>
    </row>
    <row r="48" spans="1:5" ht="13.5">
      <c r="A48" s="1" t="s">
        <v>44</v>
      </c>
      <c r="B48" s="1">
        <v>0.0975</v>
      </c>
      <c r="C48" s="1" t="s">
        <v>45</v>
      </c>
      <c r="D48" s="1">
        <v>2.7</v>
      </c>
      <c r="E48" s="1" t="s">
        <v>110</v>
      </c>
    </row>
    <row r="49" spans="1:5" ht="13.5">
      <c r="A49" s="1" t="s">
        <v>21</v>
      </c>
      <c r="B49" s="1">
        <v>40000</v>
      </c>
      <c r="C49" s="1" t="s">
        <v>4</v>
      </c>
      <c r="D49" s="3">
        <v>276000000</v>
      </c>
      <c r="E49" s="1" t="s">
        <v>6</v>
      </c>
    </row>
    <row r="50" spans="1:5" ht="13.5">
      <c r="A50" s="1" t="s">
        <v>48</v>
      </c>
      <c r="B50" s="1">
        <v>14000</v>
      </c>
      <c r="C50" s="1" t="s">
        <v>4</v>
      </c>
      <c r="D50" s="3">
        <v>96500000</v>
      </c>
      <c r="E50" s="1" t="s">
        <v>6</v>
      </c>
    </row>
    <row r="51" spans="1:5" ht="13.5">
      <c r="A51" s="1" t="s">
        <v>95</v>
      </c>
      <c r="B51" s="1">
        <v>10000000</v>
      </c>
      <c r="C51" s="1" t="s">
        <v>4</v>
      </c>
      <c r="D51" s="3">
        <v>68900000000</v>
      </c>
      <c r="E51" s="1" t="s">
        <v>6</v>
      </c>
    </row>
    <row r="53" spans="1:2" ht="13.5">
      <c r="A53" s="1" t="s">
        <v>19</v>
      </c>
      <c r="B53" s="1" t="s">
        <v>18</v>
      </c>
    </row>
    <row r="54" spans="1:5" ht="13.5">
      <c r="A54" s="1" t="s">
        <v>44</v>
      </c>
      <c r="B54" s="2">
        <f>0.036127292*D54</f>
        <v>0.0758673132</v>
      </c>
      <c r="C54" s="1" t="s">
        <v>45</v>
      </c>
      <c r="D54" s="1">
        <v>2.1</v>
      </c>
      <c r="E54" s="1" t="s">
        <v>46</v>
      </c>
    </row>
    <row r="55" spans="1:3" ht="13.5">
      <c r="A55" s="1" t="s">
        <v>92</v>
      </c>
      <c r="B55" s="1">
        <v>7480</v>
      </c>
      <c r="C55" s="1" t="s">
        <v>4</v>
      </c>
    </row>
    <row r="56" spans="1:3" ht="13.5">
      <c r="A56" s="1" t="s">
        <v>114</v>
      </c>
      <c r="B56" s="1">
        <v>2800</v>
      </c>
      <c r="C56" s="1" t="s">
        <v>4</v>
      </c>
    </row>
    <row r="57" spans="1:2" ht="13.5">
      <c r="A57" s="1" t="s">
        <v>27</v>
      </c>
      <c r="B57" s="1">
        <v>15</v>
      </c>
    </row>
    <row r="59" spans="1:2" ht="13.5">
      <c r="A59" s="1" t="s">
        <v>93</v>
      </c>
      <c r="B59" s="1" t="s">
        <v>94</v>
      </c>
    </row>
    <row r="60" spans="1:3" ht="13.5">
      <c r="A60" s="1" t="s">
        <v>50</v>
      </c>
      <c r="B60" s="1">
        <v>0.528</v>
      </c>
      <c r="C60" s="1" t="s">
        <v>2</v>
      </c>
    </row>
    <row r="61" spans="1:3" ht="13.5">
      <c r="A61" s="1" t="s">
        <v>28</v>
      </c>
      <c r="B61" s="1">
        <v>0.572</v>
      </c>
      <c r="C61" s="1" t="s">
        <v>2</v>
      </c>
    </row>
    <row r="62" spans="1:3" ht="13.5">
      <c r="A62" s="1" t="s">
        <v>47</v>
      </c>
      <c r="B62" s="1">
        <v>0.022</v>
      </c>
      <c r="C62" s="1" t="s">
        <v>2</v>
      </c>
    </row>
    <row r="64" spans="1:3" ht="13.5">
      <c r="A64" s="1" t="s">
        <v>112</v>
      </c>
      <c r="B64" s="1" t="s">
        <v>113</v>
      </c>
      <c r="C64" s="1">
        <v>5.625</v>
      </c>
    </row>
    <row r="65" spans="1:5" ht="13.5">
      <c r="A65" s="1" t="s">
        <v>23</v>
      </c>
      <c r="B65" s="1">
        <v>10.725</v>
      </c>
      <c r="C65" s="1" t="s">
        <v>2</v>
      </c>
      <c r="D65" s="2">
        <f>0.0254*B65</f>
        <v>0.27241499999999996</v>
      </c>
      <c r="E65" s="1" t="s">
        <v>3</v>
      </c>
    </row>
    <row r="66" spans="1:5" ht="13.5">
      <c r="A66" s="1" t="s">
        <v>68</v>
      </c>
      <c r="B66" s="1">
        <v>0.64</v>
      </c>
      <c r="C66" s="1" t="s">
        <v>2</v>
      </c>
      <c r="D66" s="2">
        <f>0.0254*B66</f>
        <v>0.016256</v>
      </c>
      <c r="E66" s="1" t="s">
        <v>3</v>
      </c>
    </row>
    <row r="67" spans="1:5" ht="13.5">
      <c r="A67" s="1" t="s">
        <v>98</v>
      </c>
      <c r="B67" s="1">
        <f>PI()/4*$B$66^2*$B$65</f>
        <v>3.4502227158784544</v>
      </c>
      <c r="C67" s="1" t="s">
        <v>72</v>
      </c>
      <c r="D67" s="1">
        <f>PI()/4*$D$66^2*$D$65</f>
        <v>5.6539020459354034E-05</v>
      </c>
      <c r="E67" s="1" t="s">
        <v>37</v>
      </c>
    </row>
    <row r="68" spans="1:5" ht="13.5">
      <c r="A68" s="1" t="s">
        <v>118</v>
      </c>
      <c r="D68" s="1">
        <f>$D$39*$D$67/($D$41*$F$42)</f>
        <v>6.718648583702971E-05</v>
      </c>
      <c r="E68" s="1" t="s">
        <v>36</v>
      </c>
    </row>
    <row r="70" spans="1:22" ht="13.5">
      <c r="A70" s="1" t="s">
        <v>49</v>
      </c>
      <c r="B70" s="1" t="s">
        <v>28</v>
      </c>
      <c r="C70" s="1" t="s">
        <v>50</v>
      </c>
      <c r="D70" s="1" t="s">
        <v>47</v>
      </c>
      <c r="E70" s="1" t="s">
        <v>56</v>
      </c>
      <c r="F70" s="1" t="s">
        <v>54</v>
      </c>
      <c r="G70" s="1" t="s">
        <v>52</v>
      </c>
      <c r="H70" s="1" t="s">
        <v>58</v>
      </c>
      <c r="I70" s="1" t="s">
        <v>62</v>
      </c>
      <c r="J70" s="1" t="s">
        <v>59</v>
      </c>
      <c r="K70" s="1" t="s">
        <v>57</v>
      </c>
      <c r="L70" s="1" t="s">
        <v>55</v>
      </c>
      <c r="M70" s="1" t="s">
        <v>61</v>
      </c>
      <c r="N70" s="1" t="s">
        <v>64</v>
      </c>
      <c r="O70" s="1" t="s">
        <v>65</v>
      </c>
      <c r="P70" s="1" t="s">
        <v>70</v>
      </c>
      <c r="Q70" s="1" t="s">
        <v>67</v>
      </c>
      <c r="R70" s="1" t="s">
        <v>63</v>
      </c>
      <c r="S70" s="1" t="s">
        <v>60</v>
      </c>
      <c r="T70" s="1" t="s">
        <v>66</v>
      </c>
      <c r="U70" s="1" t="s">
        <v>69</v>
      </c>
      <c r="V70" s="1" t="s">
        <v>71</v>
      </c>
    </row>
    <row r="71" spans="1:22" ht="13.5">
      <c r="A71" s="1" t="s">
        <v>96</v>
      </c>
      <c r="B71" s="1">
        <v>0.75</v>
      </c>
      <c r="C71" s="1">
        <f>B71-2*D71</f>
        <v>0.6799999999999999</v>
      </c>
      <c r="D71" s="1">
        <v>0.035</v>
      </c>
      <c r="E71" s="1">
        <f>2*$B$50*D71/($B$3*B71)</f>
        <v>8.711111111111112</v>
      </c>
      <c r="F71" s="1">
        <f>$B$57*C71*$B$3/(4*$B$56)</f>
        <v>0.13660714285714284</v>
      </c>
      <c r="G71" s="1">
        <f>2*F71*(PI()/4)*C71^2</f>
        <v>0.09922271597412846</v>
      </c>
      <c r="H71" s="1">
        <f>PI()/4*C71^2*($D$31-2*$F$71)</f>
        <v>6.696314980072558</v>
      </c>
      <c r="I71" s="1">
        <f>0.000016387064*H71</f>
        <v>0.00010973294214260773</v>
      </c>
      <c r="J71" s="1">
        <f>($B$3-$B$9)*I71/($D$41*$F$42)</f>
        <v>9.008492000325474E-08</v>
      </c>
      <c r="K71" s="1">
        <f>ROUNDDOWN(J71/$D$32,)</f>
        <v>8</v>
      </c>
      <c r="L71" s="1">
        <f>PI()/4*((B71^2-C71^2)*$D$31*$B$48+2*C71^2*F71*$B$54)</f>
        <v>0.15095931153759853</v>
      </c>
      <c r="M71" s="1">
        <f>453.59237*L71</f>
        <v>68.47399189390767</v>
      </c>
      <c r="N71" s="3">
        <f>($D$3-$D$39)*I71/($D$41*$F$42)</f>
        <v>0.0012005599188199476</v>
      </c>
      <c r="O71" s="1">
        <f>ROUNDUP(N71/$D$68,)</f>
        <v>18</v>
      </c>
      <c r="P71" s="3">
        <f>($D$9-$D$39)*I71/($D$41*$F$42)</f>
        <v>0.0005794462599084402</v>
      </c>
      <c r="Q71" s="1">
        <f>ROUNDUP(P71/$D$68,)</f>
        <v>9</v>
      </c>
      <c r="R71" s="1">
        <f>O71-Q71</f>
        <v>9</v>
      </c>
      <c r="S71" s="1">
        <f>(J71/$D$32/(N71/$D$68-P71/$D$68))^-1</f>
        <v>1.0769463368865855</v>
      </c>
      <c r="T71" s="1">
        <f>ROUNDDOWN(PI()/ASIN($B$11/(B71+$B$61+$B$13)),)-1</f>
        <v>8</v>
      </c>
      <c r="U71" s="1">
        <f>($B$61+$B$14)/SIN(PI()/T71)</f>
        <v>2.147989514256763</v>
      </c>
      <c r="V71" s="1">
        <f>U71+$B$14+$B$61</f>
        <v>2.969989514256763</v>
      </c>
    </row>
    <row r="72" spans="1:22" ht="13.5">
      <c r="A72" s="1" t="s">
        <v>115</v>
      </c>
      <c r="B72" s="1">
        <v>0.875</v>
      </c>
      <c r="C72" s="1">
        <f>B72-2*D72</f>
        <v>0.777</v>
      </c>
      <c r="D72" s="1">
        <v>0.049</v>
      </c>
      <c r="E72" s="1">
        <f>2*$B$50*D72/($B$3*B72)</f>
        <v>10.453333333333333</v>
      </c>
      <c r="F72" s="1">
        <f>$B$57*C72*$B$3/(4*$B$56)</f>
        <v>0.15609375000000003</v>
      </c>
      <c r="G72" s="1">
        <f>2*F72*(PI()/4)*C72^2</f>
        <v>0.14802921254437137</v>
      </c>
      <c r="H72" s="1">
        <f>PI()/4*C72^2*($D$31-2*$F$71)</f>
        <v>8.742992099057584</v>
      </c>
      <c r="I72" s="1">
        <f>0.000016387064*H72</f>
        <v>0.00014327197107875096</v>
      </c>
      <c r="J72" s="1">
        <f>($B$3-$B$9)*I72/($D$41*$F$42)</f>
        <v>1.1761868224187934E-07</v>
      </c>
      <c r="K72" s="1">
        <f>ROUNDDOWN(J72/$D$32,)</f>
        <v>11</v>
      </c>
      <c r="L72" s="1">
        <f>PI()/4*((B72^2-C72^2)*$D$31*$B$48+2*C72^2*F72*$B$54)</f>
        <v>0.24320854393539357</v>
      </c>
      <c r="M72" s="1">
        <f>453.59237*L72</f>
        <v>110.3175398479043</v>
      </c>
      <c r="N72" s="3">
        <f>($D$3-$D$39)*I72/($D$41*$F$42)</f>
        <v>0.001567501814942146</v>
      </c>
      <c r="O72" s="1">
        <f>ROUNDUP(N72/$D$68,)</f>
        <v>24</v>
      </c>
      <c r="P72" s="3">
        <f>($D$9-$D$39)*I72/($D$41*$F$42)</f>
        <v>0.0007565495481147551</v>
      </c>
      <c r="Q72" s="1">
        <f>ROUNDUP(P72/$D$68,)</f>
        <v>12</v>
      </c>
      <c r="R72" s="1">
        <f>O72-Q72</f>
        <v>12</v>
      </c>
      <c r="S72" s="1">
        <f>(J72/$D$32/(N72/$D$68-P72/$D$68))^-1</f>
        <v>1.076946336886586</v>
      </c>
      <c r="T72" s="1">
        <f>ROUNDDOWN(PI()/ASIN($B$11/(B72+$B$61+$B$13)),)-1</f>
        <v>9</v>
      </c>
      <c r="U72" s="1">
        <f>($B$61+$B$14)/SIN(PI()/T72)</f>
        <v>2.4033672169340576</v>
      </c>
      <c r="V72" s="1">
        <f>U72+$B$14+$B$61</f>
        <v>3.2253672169340577</v>
      </c>
    </row>
    <row r="73" spans="1:22" ht="13.5">
      <c r="A73" s="1" t="s">
        <v>24</v>
      </c>
      <c r="B73" s="1">
        <v>1</v>
      </c>
      <c r="C73" s="1">
        <f>B73-2*D73</f>
        <v>0.9299999999999999</v>
      </c>
      <c r="D73" s="1">
        <v>0.035</v>
      </c>
      <c r="E73" s="1">
        <f>2*$B$50*D73/($B$3*B73)</f>
        <v>6.533333333333334</v>
      </c>
      <c r="F73" s="1">
        <f>$B$57*C73*$B$3/(4*$B$56)</f>
        <v>0.18683035714285715</v>
      </c>
      <c r="G73" s="1">
        <f>2*F73*(PI()/4)*C73^2</f>
        <v>0.2538243122608451</v>
      </c>
      <c r="H73" s="1">
        <f>PI()/4*C73^2*($D$31-2*$F$71)</f>
        <v>12.52517912254489</v>
      </c>
      <c r="I73" s="1">
        <f>0.000016387064*H73</f>
        <v>0.00020525091189260695</v>
      </c>
      <c r="J73" s="1">
        <f>($B$3-$B$9)*I73/($D$41*$F$42)</f>
        <v>1.6850010231577648E-07</v>
      </c>
      <c r="K73" s="1">
        <f>ROUNDDOWN(J73/$D$32,)</f>
        <v>16</v>
      </c>
      <c r="L73" s="1">
        <f>PI()/4*((B73^2-C73^2)*$D$31*$B$48+2*C73^2*F73*$B$54)</f>
        <v>0.21283941110634294</v>
      </c>
      <c r="M73" s="1">
        <f>453.59237*L73</f>
        <v>96.54233291313042</v>
      </c>
      <c r="N73" s="3">
        <f>($D$3-$D$39)*I73/($D$41*$F$42)</f>
        <v>0.002245597477913869</v>
      </c>
      <c r="O73" s="1">
        <f>ROUNDUP(N73/$D$68,)</f>
        <v>34</v>
      </c>
      <c r="P73" s="3">
        <f>($D$9-$D$39)*I73/($D$41*$F$42)</f>
        <v>0.0010838301691064231</v>
      </c>
      <c r="Q73" s="1">
        <f>ROUNDUP(P73/$D$68,)</f>
        <v>17</v>
      </c>
      <c r="R73" s="1">
        <f>O73-Q73</f>
        <v>17</v>
      </c>
      <c r="S73" s="1">
        <f>(J73/$D$32/(N73/$D$68-P73/$D$68))^-1</f>
        <v>1.0769463368865861</v>
      </c>
      <c r="T73" s="1">
        <f>ROUNDDOWN(PI()/ASIN($B$11/(B73+$B$61+$B$13)),)-1</f>
        <v>10</v>
      </c>
      <c r="U73" s="1">
        <f>($B$61+$B$14)/SIN(PI()/T73)</f>
        <v>2.660047877504827</v>
      </c>
      <c r="V73" s="1">
        <f>U73+$B$14+$B$61</f>
        <v>3.482047877504827</v>
      </c>
    </row>
    <row r="74" spans="1:22" ht="13.5">
      <c r="A74" s="1" t="s">
        <v>51</v>
      </c>
      <c r="B74" s="1">
        <v>1.125</v>
      </c>
      <c r="C74" s="1">
        <f>B74-2*D74</f>
        <v>1.055</v>
      </c>
      <c r="D74" s="1">
        <v>0.035</v>
      </c>
      <c r="E74" s="1">
        <f>2*$B$50*D74/($B$3*B74)</f>
        <v>5.807407407407408</v>
      </c>
      <c r="F74" s="1">
        <f>$B$57*C74*$B$3/(4*$B$56)</f>
        <v>0.2119419642857143</v>
      </c>
      <c r="G74" s="1">
        <f>2*F74*(PI()/4)*C74^2</f>
        <v>0.37054567740145755</v>
      </c>
      <c r="H74" s="1">
        <f>PI()/4*C74^2*($D$31-2*$F$71)</f>
        <v>16.118438539565876</v>
      </c>
      <c r="I74" s="1">
        <f>0.000016387064*H74</f>
        <v>0.00026413388392793253</v>
      </c>
      <c r="J74" s="1">
        <f>($B$3-$B$9)*I74/($D$41*$F$42)</f>
        <v>2.168398963811043E-07</v>
      </c>
      <c r="K74" s="1">
        <f>ROUNDDOWN(J74/$D$32,)</f>
        <v>20</v>
      </c>
      <c r="L74" s="1">
        <f>PI()/4*((B74^2-C74^2)*$D$31*$B$48+2*C74^2*F74*$B$54)</f>
        <v>0.2467701933936173</v>
      </c>
      <c r="M74" s="1">
        <f>453.59237*L74</f>
        <v>111.93307686676923</v>
      </c>
      <c r="N74" s="3">
        <f>($D$3-$D$39)*I74/($D$41*$F$42)</f>
        <v>0.0028898209421379163</v>
      </c>
      <c r="O74" s="1">
        <f>ROUNDUP(N74/$D$68,)</f>
        <v>44</v>
      </c>
      <c r="P74" s="3">
        <f>($D$9-$D$39)*I74/($D$41*$F$42)</f>
        <v>0.0013947624858014528</v>
      </c>
      <c r="Q74" s="1">
        <f>ROUNDUP(P74/$D$68,)</f>
        <v>21</v>
      </c>
      <c r="R74" s="1">
        <f>O74-Q74</f>
        <v>23</v>
      </c>
      <c r="S74" s="1">
        <f>(J74/$D$32/(N74/$D$68-P74/$D$68))^-1</f>
        <v>1.076946336886586</v>
      </c>
      <c r="T74" s="1">
        <f>ROUNDDOWN(PI()/ASIN($B$11/(B74+$B$61+$B$13)),)-1</f>
        <v>11</v>
      </c>
      <c r="U74" s="1">
        <f>($B$61+$B$14)/SIN(PI()/T74)</f>
        <v>2.9176606680308317</v>
      </c>
      <c r="V74" s="1">
        <f>U74+$B$14+$B$61</f>
        <v>3.7396606680308317</v>
      </c>
    </row>
    <row r="75" spans="1:22" ht="13.5">
      <c r="A75" s="1" t="s">
        <v>97</v>
      </c>
      <c r="B75" s="1">
        <v>1.25</v>
      </c>
      <c r="C75" s="1">
        <f>B75-2*D75</f>
        <v>1.18</v>
      </c>
      <c r="D75" s="1">
        <v>0.035</v>
      </c>
      <c r="E75" s="1">
        <f>2*$B$50*D75/($B$3*B75)</f>
        <v>5.2266666666666675</v>
      </c>
      <c r="F75" s="1">
        <f>$B$57*C75*$B$3/(4*$B$56)</f>
        <v>0.23705357142857142</v>
      </c>
      <c r="G75" s="1">
        <f>2*F75*(PI()/4)*C75^2</f>
        <v>0.5184780730727288</v>
      </c>
      <c r="H75" s="1">
        <f>PI()/4*C75^2*($D$31-2*$F$71)</f>
        <v>20.164249520443406</v>
      </c>
      <c r="I75" s="1">
        <f>0.000016387064*H75</f>
        <v>0.0003304328474034754</v>
      </c>
      <c r="J75" s="1">
        <f>($B$3-$B$9)*I75/($D$41*$F$42)</f>
        <v>2.712678257191434E-07</v>
      </c>
      <c r="K75" s="1">
        <f>ROUNDDOWN(J75/$D$32,)</f>
        <v>25</v>
      </c>
      <c r="L75" s="1">
        <f>PI()/4*((B75^2-C75^2)*$D$31*$B$48+2*C75^2*F75*$B$54)</f>
        <v>0.2830688727094561</v>
      </c>
      <c r="M75" s="1">
        <f>453.59237*L75</f>
        <v>128.3978808455105</v>
      </c>
      <c r="N75" s="3">
        <f>($D$3-$D$39)*I75/($D$41*$F$42)</f>
        <v>0.0036151808628133546</v>
      </c>
      <c r="O75" s="1">
        <f>ROUNDUP(N75/$D$68,)</f>
        <v>54</v>
      </c>
      <c r="P75" s="3">
        <f>($D$9-$D$39)*I75/($D$41*$F$42)</f>
        <v>0.001744855043893841</v>
      </c>
      <c r="Q75" s="1">
        <f>ROUNDUP(P75/$D$68,)</f>
        <v>26</v>
      </c>
      <c r="R75" s="1">
        <f>O75-Q75</f>
        <v>28</v>
      </c>
      <c r="S75" s="1">
        <f>(J75/$D$32/(N75/$D$68-P75/$D$68))^-1</f>
        <v>1.0769463368865861</v>
      </c>
      <c r="T75" s="1">
        <f>ROUNDDOWN(PI()/ASIN($B$11/(B75+$B$61+$B$13)),)-1</f>
        <v>11</v>
      </c>
      <c r="U75" s="1">
        <f>($B$61+$B$14)/SIN(PI()/T75)</f>
        <v>2.9176606680308317</v>
      </c>
      <c r="V75" s="1">
        <f>U75+$B$14+$B$61</f>
        <v>3.7396606680308317</v>
      </c>
    </row>
    <row r="76" spans="2:22" ht="13.5">
      <c r="B76" s="1">
        <v>1.25</v>
      </c>
      <c r="C76" s="1">
        <f>B76-2*D76</f>
        <v>1.134</v>
      </c>
      <c r="D76" s="1">
        <v>0.058</v>
      </c>
      <c r="E76" s="1">
        <f>2*$B$50*D76/($B$3*B76)</f>
        <v>8.661333333333333</v>
      </c>
      <c r="F76" s="1">
        <f>$B$57*C76*$B$3/(4*$B$56)</f>
        <v>0.22781249999999995</v>
      </c>
      <c r="G76" s="1">
        <f>2*F76*(PI()/4)*C76^2</f>
        <v>0.4601755458528987</v>
      </c>
      <c r="H76" s="1">
        <f>PI()/4*C76^2*($D$31-2*$F$71)</f>
        <v>18.622764763222726</v>
      </c>
      <c r="I76" s="1">
        <f>0.000016387064*H76</f>
        <v>0.0003051724380318756</v>
      </c>
      <c r="J76" s="1">
        <f>($B$3-$B$9)*I76/($D$41*$F$42)</f>
        <v>2.5053037064815197E-07</v>
      </c>
      <c r="K76" s="1">
        <f>ROUNDDOWN(J76/$D$32,)</f>
        <v>23</v>
      </c>
      <c r="L76" s="1">
        <f>PI()/4*((B76^2-C76^2)*$D$31*$B$48+2*C76^2*F76*$B$54)</f>
        <v>0.4311673746517781</v>
      </c>
      <c r="M76" s="1">
        <f>453.59237*L76</f>
        <v>195.57423133497798</v>
      </c>
      <c r="N76" s="3">
        <f>($D$3-$D$39)*I76/($D$41*$F$42)</f>
        <v>0.003338813215756974</v>
      </c>
      <c r="O76" s="1">
        <f>ROUNDUP(N76/$D$68,)</f>
        <v>50</v>
      </c>
      <c r="P76" s="3">
        <f>($D$9-$D$39)*I76/($D$41*$F$42)</f>
        <v>0.0016114671163642259</v>
      </c>
      <c r="Q76" s="1">
        <f>ROUNDUP(P76/$D$68,)</f>
        <v>24</v>
      </c>
      <c r="R76" s="1">
        <f>O76-Q76</f>
        <v>26</v>
      </c>
      <c r="S76" s="1">
        <f>(J76/$D$32/(N76/$D$68-P76/$D$68))^-1</f>
        <v>1.0769463368865861</v>
      </c>
      <c r="T76" s="1">
        <f>ROUNDDOWN(PI()/ASIN($B$11/(B76+$B$61+$B$13)),)-1</f>
        <v>11</v>
      </c>
      <c r="U76" s="1">
        <f>($B$61+$B$14)/SIN(PI()/T76)</f>
        <v>2.9176606680308317</v>
      </c>
      <c r="V76" s="1">
        <f>U76+$B$14+$B$61</f>
        <v>3.7396606680308317</v>
      </c>
    </row>
    <row r="77" spans="1:22" ht="13.5">
      <c r="A77" s="1" t="s">
        <v>25</v>
      </c>
      <c r="B77" s="1">
        <v>1.375</v>
      </c>
      <c r="C77" s="1">
        <f>B77-2*D77</f>
        <v>1.277</v>
      </c>
      <c r="D77" s="1">
        <v>0.049</v>
      </c>
      <c r="E77" s="1">
        <f>2*$B$50*D77/($B$3*B77)</f>
        <v>6.652121212121212</v>
      </c>
      <c r="F77" s="1">
        <f>$B$57*C77*$B$3/(4*$B$56)</f>
        <v>0.2565401785714285</v>
      </c>
      <c r="G77" s="1">
        <f>2*F77*(PI()/4)*C77^2</f>
        <v>0.6571387302436077</v>
      </c>
      <c r="H77" s="1">
        <f>PI()/4*C77^2*($D$31-2*$F$71)</f>
        <v>23.615646693639157</v>
      </c>
      <c r="I77" s="1">
        <f>0.000016387064*H77</f>
        <v>0.0003869911137700532</v>
      </c>
      <c r="J77" s="1">
        <f>($B$3-$B$9)*I77/($D$41*$F$42)</f>
        <v>3.1769915984426396E-07</v>
      </c>
      <c r="K77" s="1">
        <f>ROUNDDOWN(J77/$D$32,)</f>
        <v>30</v>
      </c>
      <c r="L77" s="1">
        <f>PI()/4*((B77^2-C77^2)*$D$31*$B$48+2*C77^2*F77*$B$54)</f>
        <v>0.422255812325495</v>
      </c>
      <c r="M77" s="1">
        <f>453.59237*L77</f>
        <v>191.53201465899647</v>
      </c>
      <c r="N77" s="3">
        <f>($D$3-$D$39)*I77/($D$41*$F$42)</f>
        <v>0.004233970319760672</v>
      </c>
      <c r="O77" s="1">
        <f>ROUNDUP(N77/$D$68,)</f>
        <v>64</v>
      </c>
      <c r="P77" s="3">
        <f>($D$9-$D$39)*I77/($D$41*$F$42)</f>
        <v>0.002043511721397558</v>
      </c>
      <c r="Q77" s="1">
        <f>ROUNDUP(P77/$D$68,)</f>
        <v>31</v>
      </c>
      <c r="R77" s="1">
        <f>O77-Q77</f>
        <v>33</v>
      </c>
      <c r="S77" s="1">
        <f>(J77/$D$32/(N77/$D$68-P77/$D$68))^-1</f>
        <v>1.0769463368865861</v>
      </c>
      <c r="T77" s="1">
        <f>ROUNDDOWN(PI()/ASIN($B$11/(B77+$B$61+$B$13)),)-1</f>
        <v>12</v>
      </c>
      <c r="U77" s="1">
        <f>($B$61+$B$14)/SIN(PI()/T77)</f>
        <v>3.1759641168384567</v>
      </c>
      <c r="V77" s="1">
        <f>U77+$B$14+$B$61</f>
        <v>3.9979641168384568</v>
      </c>
    </row>
    <row r="78" spans="1:22" ht="13.5">
      <c r="A78" s="1" t="s">
        <v>53</v>
      </c>
      <c r="B78" s="1">
        <v>1.5</v>
      </c>
      <c r="C78" s="1">
        <f>B78-2*D78</f>
        <v>1.43</v>
      </c>
      <c r="D78" s="1">
        <v>0.035</v>
      </c>
      <c r="E78" s="1">
        <f>2*$B$50*D78/($B$3*B78)</f>
        <v>4.355555555555556</v>
      </c>
      <c r="F78" s="1">
        <f>$B$57*C78*$B$3/(4*$B$56)</f>
        <v>0.2872767857142857</v>
      </c>
      <c r="G78" s="1">
        <f>2*F78*(PI()/4)*C78^2</f>
        <v>0.9227679136047168</v>
      </c>
      <c r="H78" s="1">
        <f>PI()/4*C78^2*($D$31-2*$F$71)</f>
        <v>29.61352617376811</v>
      </c>
      <c r="I78" s="1">
        <f>0.000016387064*H78</f>
        <v>0.00048527874867521314</v>
      </c>
      <c r="J78" s="1">
        <f>($B$3-$B$9)*I78/($D$41*$F$42)</f>
        <v>3.9838809021335565E-07</v>
      </c>
      <c r="K78" s="1">
        <f>ROUNDDOWN(J78/$D$32,)</f>
        <v>37</v>
      </c>
      <c r="L78" s="1">
        <f>PI()/4*((B78^2-C78^2)*$D$31*$B$48+2*C78^2*F78*$B$54)</f>
        <v>0.36389214850671475</v>
      </c>
      <c r="M78" s="1">
        <f>453.59237*L78</f>
        <v>165.05870206555272</v>
      </c>
      <c r="N78" s="3">
        <f>($D$3-$D$39)*I78/($D$41*$F$42)</f>
        <v>0.005309310073518406</v>
      </c>
      <c r="O78" s="1">
        <f>ROUNDUP(N78/$D$68,)</f>
        <v>80</v>
      </c>
      <c r="P78" s="3">
        <f>($D$9-$D$39)*I78/($D$41*$F$42)</f>
        <v>0.002562520884270695</v>
      </c>
      <c r="Q78" s="1">
        <f>ROUNDUP(P78/$D$68,)</f>
        <v>39</v>
      </c>
      <c r="R78" s="1">
        <f>O78-Q78</f>
        <v>41</v>
      </c>
      <c r="S78" s="1">
        <f>(J78/$D$32/(N78/$D$68-P78/$D$68))^-1</f>
        <v>1.0769463368865861</v>
      </c>
      <c r="T78" s="1">
        <f>ROUNDDOWN(PI()/ASIN($B$11/(B78+$B$61+$B$13)),)-1</f>
        <v>13</v>
      </c>
      <c r="U78" s="1">
        <f>($B$61+$B$14)/SIN(PI()/T78)</f>
        <v>3.43479396740323</v>
      </c>
      <c r="V78" s="1">
        <f>U78+$B$14+$B$61</f>
        <v>4.25679396740323</v>
      </c>
    </row>
    <row r="79" spans="2:22" ht="13.5">
      <c r="B79" s="1">
        <v>1.625</v>
      </c>
      <c r="C79" s="1">
        <f>B79-2*D79</f>
        <v>1.509</v>
      </c>
      <c r="D79" s="1">
        <v>0.058</v>
      </c>
      <c r="E79" s="1">
        <f>2*$B$50*D79/($B$3*B79)</f>
        <v>6.662564102564103</v>
      </c>
      <c r="F79" s="1">
        <f>$B$57*C79*$B$3/(4*$B$56)</f>
        <v>0.30314732142857137</v>
      </c>
      <c r="G79" s="1">
        <f>2*F79*(PI()/4)*C79^2</f>
        <v>1.0843065763708668</v>
      </c>
      <c r="H79" s="1">
        <f>PI()/4*C79^2*($D$31-2*$F$71)</f>
        <v>32.97589016249698</v>
      </c>
      <c r="I79" s="1">
        <f>0.000016387064*H79</f>
        <v>0.0005403780225498084</v>
      </c>
      <c r="J79" s="1">
        <f>($B$3-$B$9)*I79/($D$41*$F$42)</f>
        <v>4.43621668957464E-07</v>
      </c>
      <c r="K79" s="1">
        <f>ROUNDDOWN(J79/$D$32,)</f>
        <v>42</v>
      </c>
      <c r="L79" s="1">
        <f>PI()/4*((B79^2-C79^2)*$D$31*$B$48+2*C79^2*F79*$B$54)</f>
        <v>0.6031793073149945</v>
      </c>
      <c r="M79" s="1">
        <f>453.59237*L79</f>
        <v>273.59753153996667</v>
      </c>
      <c r="N79" s="3">
        <f>($D$3-$D$39)*I79/($D$41*$F$42)</f>
        <v>0.005912137068569303</v>
      </c>
      <c r="O79" s="1">
        <f>ROUNDUP(N79/$D$68,)</f>
        <v>88</v>
      </c>
      <c r="P79" s="3">
        <f>($D$9-$D$39)*I79/($D$41*$F$42)</f>
        <v>0.0028534733325228613</v>
      </c>
      <c r="Q79" s="1">
        <f>ROUNDUP(P79/$D$68,)</f>
        <v>43</v>
      </c>
      <c r="R79" s="1">
        <f>O79-Q79</f>
        <v>45</v>
      </c>
      <c r="S79" s="1">
        <f>(J79/$D$32/(N79/$D$68-P79/$D$68))^-1</f>
        <v>1.076946336886586</v>
      </c>
      <c r="T79" s="1">
        <f>ROUNDDOWN(PI()/ASIN($B$11/(B79+$B$61+$B$13)),)-1</f>
        <v>14</v>
      </c>
      <c r="U79" s="1">
        <f>($B$61+$B$14)/SIN(PI()/T79)</f>
        <v>3.6940344685115156</v>
      </c>
      <c r="V79" s="1">
        <f>U79+$B$14+$B$61</f>
        <v>4.516034468511515</v>
      </c>
    </row>
    <row r="80" spans="2:22" ht="13.5">
      <c r="B80" s="1">
        <v>1.75</v>
      </c>
      <c r="C80" s="1">
        <f>B80-2*D80</f>
        <v>1.634</v>
      </c>
      <c r="D80" s="1">
        <v>0.058</v>
      </c>
      <c r="E80" s="1">
        <f>2*$B$50*D80/($B$3*B80)</f>
        <v>6.1866666666666665</v>
      </c>
      <c r="F80" s="1">
        <f>$B$57*C80*$B$3/(4*$B$56)</f>
        <v>0.3282589285714285</v>
      </c>
      <c r="G80" s="1">
        <f>2*F80*(PI()/4)*C80^2</f>
        <v>1.3767038567360208</v>
      </c>
      <c r="H80" s="1">
        <f>PI()/4*C80^2*($D$31-2*$F$71)</f>
        <v>38.665368423301494</v>
      </c>
      <c r="I80" s="1">
        <f>0.000016387064*H80</f>
        <v>0.0006336118669362207</v>
      </c>
      <c r="J80" s="1">
        <f>($B$3-$B$9)*I80/($D$41*$F$42)</f>
        <v>5.201617056059907E-07</v>
      </c>
      <c r="K80" s="1">
        <f>ROUNDDOWN(J80/$D$32,)</f>
        <v>49</v>
      </c>
      <c r="L80" s="1">
        <f>PI()/4*((B80^2-C80^2)*$D$31*$B$48+2*C80^2*F80*$B$54)</f>
        <v>0.6669162994609766</v>
      </c>
      <c r="M80" s="1">
        <f>453.59237*L80</f>
        <v>302.5081448641341</v>
      </c>
      <c r="N80" s="3">
        <f>($D$3-$D$39)*I80/($D$41*$F$42)</f>
        <v>0.006932184599076196</v>
      </c>
      <c r="O80" s="1">
        <f>ROUNDUP(N80/$D$68,)</f>
        <v>104</v>
      </c>
      <c r="P80" s="3">
        <f>($D$9-$D$39)*I80/($D$41*$F$42)</f>
        <v>0.003345795887370458</v>
      </c>
      <c r="Q80" s="1">
        <f>ROUNDUP(P80/$D$68,)</f>
        <v>50</v>
      </c>
      <c r="R80" s="1">
        <f>O80-Q80</f>
        <v>54</v>
      </c>
      <c r="S80" s="1">
        <f>(J80/$D$32/(N80/$D$68-P80/$D$68))^-1</f>
        <v>1.0769463368865861</v>
      </c>
      <c r="T80" s="1">
        <f>ROUNDDOWN(PI()/ASIN($B$11/(B80+$B$61+$B$13)),)-1</f>
        <v>14</v>
      </c>
      <c r="U80" s="1">
        <f>($B$61+$B$14)/SIN(PI()/T80)</f>
        <v>3.6940344685115156</v>
      </c>
      <c r="V80" s="1">
        <f>U80+$B$14+$B$61</f>
        <v>4.516034468511515</v>
      </c>
    </row>
    <row r="81" spans="2:22" ht="13.5">
      <c r="B81" s="1">
        <v>1.875</v>
      </c>
      <c r="C81" s="1">
        <f>B81-2*D81</f>
        <v>1.759</v>
      </c>
      <c r="D81" s="1">
        <v>0.058</v>
      </c>
      <c r="E81" s="1">
        <f>2*$B$50*D81/($B$3*B81)</f>
        <v>5.774222222222222</v>
      </c>
      <c r="F81" s="1">
        <f>$B$57*C81*$B$3/(4*$B$56)</f>
        <v>0.35337053571428567</v>
      </c>
      <c r="G81" s="1">
        <f>2*F81*(PI()/4)*C81^2</f>
        <v>1.7174412545297026</v>
      </c>
      <c r="H81" s="1">
        <f>PI()/4*C81^2*($D$31-2*$F$71)</f>
        <v>44.80739824796255</v>
      </c>
      <c r="I81" s="1">
        <f>0.000016387064*H81</f>
        <v>0.0007342617027628501</v>
      </c>
      <c r="J81" s="1">
        <f>($B$3-$B$9)*I81/($D$41*$F$42)</f>
        <v>6.027898775272286E-07</v>
      </c>
      <c r="K81" s="1">
        <f>ROUNDDOWN(J81/$D$32,)</f>
        <v>57</v>
      </c>
      <c r="L81" s="1">
        <f>PI()/4*((B81^2-C81^2)*$D$31*$B$48+2*C81^2*F81*$B$54)</f>
        <v>0.7343207264360331</v>
      </c>
      <c r="M81" s="1">
        <f>453.59237*L81</f>
        <v>333.0822786442419</v>
      </c>
      <c r="N81" s="3">
        <f>($D$3-$D$39)*I81/($D$41*$F$42)</f>
        <v>0.008033368586034477</v>
      </c>
      <c r="O81" s="1">
        <f>ROUNDUP(N81/$D$68,)</f>
        <v>120</v>
      </c>
      <c r="P81" s="3">
        <f>($D$9-$D$39)*I81/($D$41*$F$42)</f>
        <v>0.003877278683615412</v>
      </c>
      <c r="Q81" s="1">
        <f>ROUNDUP(P81/$D$68,)</f>
        <v>58</v>
      </c>
      <c r="R81" s="1">
        <f>O81-Q81</f>
        <v>62</v>
      </c>
      <c r="S81" s="1">
        <f>(J81/$D$32/(N81/$D$68-P81/$D$68))^-1</f>
        <v>1.076946336886586</v>
      </c>
      <c r="T81" s="1">
        <f>ROUNDDOWN(PI()/ASIN($B$11/(B81+$B$61+$B$13)),)-1</f>
        <v>15</v>
      </c>
      <c r="U81" s="1">
        <f>($B$61+$B$14)/SIN(PI()/T81)</f>
        <v>3.9536016313796756</v>
      </c>
      <c r="V81" s="1">
        <f>U81+$B$14+$B$61</f>
        <v>4.775601631379676</v>
      </c>
    </row>
    <row r="82" spans="2:22" ht="13.5">
      <c r="B82" s="1">
        <v>2</v>
      </c>
      <c r="C82" s="1">
        <f>B82-2*D82</f>
        <v>1.884</v>
      </c>
      <c r="D82" s="1">
        <v>0.058</v>
      </c>
      <c r="E82" s="1">
        <f>2*$B$50*D82/($B$3*B82)</f>
        <v>5.413333333333333</v>
      </c>
      <c r="F82" s="1">
        <f>$B$57*C82*$B$3/(4*$B$56)</f>
        <v>0.3784821428571429</v>
      </c>
      <c r="G82" s="1">
        <f>2*F82*(PI()/4)*C82^2</f>
        <v>2.1102167591512795</v>
      </c>
      <c r="H82" s="1">
        <f>PI()/4*C82^2*($D$31-2*$F$71)</f>
        <v>51.40197963648016</v>
      </c>
      <c r="I82" s="1">
        <f>0.000016387064*H82</f>
        <v>0.0008423275300296971</v>
      </c>
      <c r="J82" s="1">
        <f>($B$3-$B$9)*I82/($D$41*$F$42)</f>
        <v>6.915061847211779E-07</v>
      </c>
      <c r="K82" s="1">
        <f>ROUNDDOWN(J82/$D$32,)</f>
        <v>65</v>
      </c>
      <c r="L82" s="1">
        <f>PI()/4*((B82^2-C82^2)*$D$31*$B$48+2*C82^2*F82*$B$54)</f>
        <v>0.8056731447601366</v>
      </c>
      <c r="M82" s="1">
        <f>453.59237*L82</f>
        <v>365.4471911771035</v>
      </c>
      <c r="N82" s="3">
        <f>($D$3-$D$39)*I82/($D$41*$F$42)</f>
        <v>0.009215689029444153</v>
      </c>
      <c r="O82" s="1">
        <f>ROUNDUP(N82/$D$68,)</f>
        <v>138</v>
      </c>
      <c r="P82" s="3">
        <f>($D$9-$D$39)*I82/($D$41*$F$42)</f>
        <v>0.004447921721257727</v>
      </c>
      <c r="Q82" s="1">
        <f>ROUNDUP(P82/$D$68,)</f>
        <v>67</v>
      </c>
      <c r="R82" s="1">
        <f>O82-Q82</f>
        <v>71</v>
      </c>
      <c r="S82" s="1">
        <f>(J82/$D$32/(N82/$D$68-P82/$D$68))^-1</f>
        <v>1.0769463368865855</v>
      </c>
      <c r="T82" s="1">
        <f>ROUNDDOWN(PI()/ASIN($B$11/(B82+$B$61+$B$13)),)-1</f>
        <v>16</v>
      </c>
      <c r="U82" s="1">
        <f>($B$61+$B$14)/SIN(PI()/T82)</f>
        <v>4.213432996087036</v>
      </c>
      <c r="V82" s="1">
        <f>U82+$B$14+$B$61</f>
        <v>5.035432996087036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1" width="9.125" style="1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1" width="9.125" style="1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